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>
    <definedName name="_xlnm.Print_Area" localSheetId="1">'січень'!$A$1:$R$87</definedName>
  </definedNames>
  <calcPr fullCalcOnLoad="1"/>
</workbook>
</file>

<file path=xl/sharedStrings.xml><?xml version="1.0" encoding="utf-8"?>
<sst xmlns="http://schemas.openxmlformats.org/spreadsheetml/2006/main" count="248" uniqueCount="131">
  <si>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</si>
  <si>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</si>
  <si>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</si>
  <si>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</si>
  <si>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</si>
  <si>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</si>
  <si>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</si>
  <si>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</si>
  <si>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</si>
  <si>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</si>
  <si>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</si>
  <si>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</si>
  <si>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</si>
  <si>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</si>
  <si>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</si>
  <si>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</si>
  <si>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</si>
  <si>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</si>
  <si>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</si>
  <si>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</si>
  <si>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</si>
  <si>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</si>
  <si>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</si>
  <si>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</si>
  <si>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</si>
  <si>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</si>
  <si>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</si>
  <si>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</si>
  <si>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</si>
  <si>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</si>
  <si>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</si>
  <si>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</si>
  <si>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</si>
  <si>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</si>
  <si>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</si>
  <si>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</si>
  <si>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</si>
  <si>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</si>
  <si>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</si>
  <si>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</si>
  <si>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</si>
  <si>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</si>
  <si>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</si>
  <si>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</si>
  <si>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</si>
  <si>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</si>
  <si>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</si>
  <si>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</si>
  <si>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</si>
  <si>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</si>
  <si>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</si>
  <si>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</si>
  <si>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</si>
  <si>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</si>
  <si>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</si>
  <si>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</si>
  <si>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</si>
  <si>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</si>
  <si>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</si>
  <si>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</si>
  <si>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</si>
  <si>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</si>
  <si>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</si>
  <si>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</si>
  <si>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</si>
  <si>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</si>
  <si>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</si>
  <si>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</si>
  <si>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</si>
  <si>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</si>
  <si>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</si>
  <si>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</si>
  <si>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</si>
  <si>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</si>
  <si>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</si>
  <si>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</si>
  <si>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</si>
  <si>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</si>
  <si>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</si>
  <si>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</si>
  <si>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</si>
  <si>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</si>
  <si>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</si>
  <si>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</si>
  <si>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</si>
  <si>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</si>
  <si>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</si>
  <si>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</si>
  <si>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</si>
  <si>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</si>
  <si>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</si>
  <si>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</si>
  <si>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</si>
  <si>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</si>
  <si>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</si>
  <si>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</si>
  <si>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</si>
  <si>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</si>
  <si>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</si>
  <si>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</si>
  <si>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</si>
  <si>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</si>
  <si>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</si>
  <si>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</si>
  <si>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</si>
  <si>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</si>
  <si>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</si>
  <si>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</si>
  <si>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</si>
  <si>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</si>
  <si>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</si>
  <si>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</si>
  <si>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</si>
  <si>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</si>
  <si>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</si>
  <si>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</si>
  <si>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Тимчасовий план  на січень-лютий</t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</si>
  <si>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</si>
  <si>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</si>
  <si>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</si>
  <si>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</si>
  <si>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</si>
  <si>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</si>
  <si>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</si>
  <si>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</si>
  <si>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r>
      <t>Тимчасовийий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</si>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</sst>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1" t="s">
        <v>129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92"/>
      <c r="R1" s="93"/>
    </row>
    <row r="2" spans="2:18" s="1" customFormat="1" ht="15.75" customHeight="1">
      <c r="B2" s="192"/>
      <c r="C2" s="192"/>
      <c r="D2" s="19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3"/>
      <c r="B3" s="195"/>
      <c r="C3" s="196" t="s">
        <v>0</v>
      </c>
      <c r="D3" s="197" t="s">
        <v>122</v>
      </c>
      <c r="E3" s="34"/>
      <c r="F3" s="198" t="s">
        <v>26</v>
      </c>
      <c r="G3" s="199"/>
      <c r="H3" s="199"/>
      <c r="I3" s="199"/>
      <c r="J3" s="200"/>
      <c r="K3" s="89"/>
      <c r="L3" s="89"/>
      <c r="M3" s="201" t="s">
        <v>125</v>
      </c>
      <c r="N3" s="202" t="s">
        <v>120</v>
      </c>
      <c r="O3" s="202"/>
      <c r="P3" s="202"/>
      <c r="Q3" s="202"/>
      <c r="R3" s="202"/>
    </row>
    <row r="4" spans="1:18" ht="22.5" customHeight="1">
      <c r="A4" s="193"/>
      <c r="B4" s="195"/>
      <c r="C4" s="196"/>
      <c r="D4" s="197"/>
      <c r="E4" s="203" t="s">
        <v>116</v>
      </c>
      <c r="F4" s="185" t="s">
        <v>34</v>
      </c>
      <c r="G4" s="179" t="s">
        <v>117</v>
      </c>
      <c r="H4" s="187" t="s">
        <v>118</v>
      </c>
      <c r="I4" s="179" t="s">
        <v>123</v>
      </c>
      <c r="J4" s="187" t="s">
        <v>124</v>
      </c>
      <c r="K4" s="91" t="s">
        <v>65</v>
      </c>
      <c r="L4" s="96" t="s">
        <v>64</v>
      </c>
      <c r="M4" s="187"/>
      <c r="N4" s="189" t="s">
        <v>130</v>
      </c>
      <c r="O4" s="179" t="s">
        <v>50</v>
      </c>
      <c r="P4" s="181" t="s">
        <v>49</v>
      </c>
      <c r="Q4" s="97" t="s">
        <v>65</v>
      </c>
      <c r="R4" s="98" t="s">
        <v>64</v>
      </c>
    </row>
    <row r="5" spans="1:18" ht="92.25" customHeight="1">
      <c r="A5" s="194"/>
      <c r="B5" s="195"/>
      <c r="C5" s="196"/>
      <c r="D5" s="197"/>
      <c r="E5" s="204"/>
      <c r="F5" s="186"/>
      <c r="G5" s="180"/>
      <c r="H5" s="188"/>
      <c r="I5" s="180"/>
      <c r="J5" s="188"/>
      <c r="K5" s="182" t="s">
        <v>119</v>
      </c>
      <c r="L5" s="183"/>
      <c r="M5" s="188"/>
      <c r="N5" s="190"/>
      <c r="O5" s="180"/>
      <c r="P5" s="181"/>
      <c r="Q5" s="182" t="s">
        <v>121</v>
      </c>
      <c r="R5" s="18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105313.43</v>
      </c>
      <c r="F8" s="15">
        <f>F9+F15+F18+F19+F20+F32+F17</f>
        <v>74952.03</v>
      </c>
      <c r="G8" s="15">
        <f aca="true" t="shared" si="0" ref="G8:G21">F8-E8</f>
        <v>-30361.399999999994</v>
      </c>
      <c r="H8" s="38">
        <f>F8/E8*100</f>
        <v>71.17043856609742</v>
      </c>
      <c r="I8" s="28">
        <f>F8-D8</f>
        <v>-766097.97</v>
      </c>
      <c r="J8" s="28">
        <f>F8/D8*100</f>
        <v>8.911721062957017</v>
      </c>
      <c r="K8" s="15">
        <f>K9+K15+K18+K19+K20+K32</f>
        <v>37237.72</v>
      </c>
      <c r="L8" s="15"/>
      <c r="M8" s="15">
        <f>M9+M15+M18+M19+M20+M32+M17</f>
        <v>52736.20999999999</v>
      </c>
      <c r="N8" s="15">
        <f>N9+N15+N18+N19+N20+N32+N17</f>
        <v>14371.399999999998</v>
      </c>
      <c r="O8" s="15">
        <f>N8-M8</f>
        <v>-38364.81</v>
      </c>
      <c r="P8" s="15">
        <f>N8/M8*100</f>
        <v>27.25148432168334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52103.03</v>
      </c>
      <c r="F9" s="117">
        <v>38427.43</v>
      </c>
      <c r="G9" s="36">
        <f t="shared" si="0"/>
        <v>-13675.599999999999</v>
      </c>
      <c r="H9" s="32">
        <f>F9/E9*100</f>
        <v>73.75277407091296</v>
      </c>
      <c r="I9" s="42">
        <f>F9-D9</f>
        <v>-421272.57</v>
      </c>
      <c r="J9" s="42">
        <f>F9/D9*100</f>
        <v>8.359240809223406</v>
      </c>
      <c r="K9" s="106">
        <f>F9-23209.38</f>
        <v>15218.05</v>
      </c>
      <c r="L9" s="106">
        <f>F9/23209.38*100</f>
        <v>165.56853306723403</v>
      </c>
      <c r="M9" s="32">
        <f>E9-січень!E9</f>
        <v>24761.51</v>
      </c>
      <c r="N9" s="32">
        <f>F9-січень!F9</f>
        <v>8214.16</v>
      </c>
      <c r="O9" s="40">
        <f>N9-M9</f>
        <v>-16547.35</v>
      </c>
      <c r="P9" s="42">
        <f>N9/M9*100</f>
        <v>33.17309808650604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46923.03</v>
      </c>
      <c r="F10" s="118">
        <v>34536.89</v>
      </c>
      <c r="G10" s="109">
        <f t="shared" si="0"/>
        <v>-12386.14</v>
      </c>
      <c r="H10" s="111">
        <f aca="true" t="shared" si="1" ref="H10:H32">F10/E10*100</f>
        <v>73.60328180000312</v>
      </c>
      <c r="I10" s="110">
        <f aca="true" t="shared" si="2" ref="I10:I32">F10-D10</f>
        <v>-376903.11</v>
      </c>
      <c r="J10" s="110">
        <f aca="true" t="shared" si="3" ref="J10:J31">F10/D10*100</f>
        <v>8.394149815282908</v>
      </c>
      <c r="K10" s="112">
        <f>F10-310040.1/75*60</f>
        <v>-213495.18999999994</v>
      </c>
      <c r="L10" s="112">
        <f>F10/(310040.1/75*60)*100</f>
        <v>13.924364138703352</v>
      </c>
      <c r="M10" s="111">
        <f>E10-січень!E10</f>
        <v>22561.51</v>
      </c>
      <c r="N10" s="111">
        <f>F10-січень!F10</f>
        <v>7653.049999999999</v>
      </c>
      <c r="O10" s="112">
        <f aca="true" t="shared" si="4" ref="O10:O32">N10-M10</f>
        <v>-14908.46</v>
      </c>
      <c r="P10" s="110">
        <f aca="true" t="shared" si="5" ref="P10:P32">N10/M10*100</f>
        <v>33.92082356189812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2700</v>
      </c>
      <c r="F11" s="118">
        <v>2692.2</v>
      </c>
      <c r="G11" s="109">
        <f t="shared" si="0"/>
        <v>-7.800000000000182</v>
      </c>
      <c r="H11" s="111">
        <f t="shared" si="1"/>
        <v>99.71111111111111</v>
      </c>
      <c r="I11" s="110">
        <f t="shared" si="2"/>
        <v>-20307.8</v>
      </c>
      <c r="J11" s="110">
        <f t="shared" si="3"/>
        <v>11.705217391304346</v>
      </c>
      <c r="K11" s="112">
        <f>F11-24192.03/75*60</f>
        <v>-16661.423999999995</v>
      </c>
      <c r="L11" s="112">
        <f>F11/(24192.03/75*60)*100</f>
        <v>13.910573027563212</v>
      </c>
      <c r="M11" s="111">
        <f>E11-січень!E11</f>
        <v>1200</v>
      </c>
      <c r="N11" s="111">
        <f>F11-січень!F11</f>
        <v>7.2599999999997635</v>
      </c>
      <c r="O11" s="112">
        <f t="shared" si="4"/>
        <v>-1192.7400000000002</v>
      </c>
      <c r="P11" s="110">
        <f t="shared" si="5"/>
        <v>0.6049999999999803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820</v>
      </c>
      <c r="F12" s="118">
        <v>570.28</v>
      </c>
      <c r="G12" s="109">
        <f t="shared" si="0"/>
        <v>-249.72000000000003</v>
      </c>
      <c r="H12" s="111">
        <f t="shared" si="1"/>
        <v>69.54634146341463</v>
      </c>
      <c r="I12" s="110">
        <f t="shared" si="2"/>
        <v>-5929.72</v>
      </c>
      <c r="J12" s="110">
        <f t="shared" si="3"/>
        <v>8.773538461538461</v>
      </c>
      <c r="K12" s="112">
        <f>F12-6123.95/75*60</f>
        <v>-4328.88</v>
      </c>
      <c r="L12" s="112">
        <f>F12/(6123.95*60)*100</f>
        <v>0.15520483783614605</v>
      </c>
      <c r="M12" s="111">
        <f>E12-січень!E12</f>
        <v>170</v>
      </c>
      <c r="N12" s="111">
        <f>F12-січень!F12</f>
        <v>136.66999999999996</v>
      </c>
      <c r="O12" s="112">
        <f t="shared" si="4"/>
        <v>-33.33000000000004</v>
      </c>
      <c r="P12" s="110">
        <f t="shared" si="5"/>
        <v>80.3941176470588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460</v>
      </c>
      <c r="F13" s="118">
        <v>400.71</v>
      </c>
      <c r="G13" s="109">
        <f t="shared" si="0"/>
        <v>-59.29000000000002</v>
      </c>
      <c r="H13" s="111">
        <f t="shared" si="1"/>
        <v>87.11086956521739</v>
      </c>
      <c r="I13" s="110">
        <f t="shared" si="2"/>
        <v>-11999.29</v>
      </c>
      <c r="J13" s="110">
        <f t="shared" si="3"/>
        <v>3.2315322580645156</v>
      </c>
      <c r="K13" s="112">
        <f>F13-8694.58/75*60</f>
        <v>-6554.954</v>
      </c>
      <c r="L13" s="112">
        <f>F13/(8694.58/75*60)*100</f>
        <v>5.760916571013206</v>
      </c>
      <c r="M13" s="111">
        <f>E13-січень!E13</f>
        <v>230</v>
      </c>
      <c r="N13" s="111">
        <f>F13-січень!F13</f>
        <v>190.86999999999998</v>
      </c>
      <c r="O13" s="112">
        <f t="shared" si="4"/>
        <v>-39.130000000000024</v>
      </c>
      <c r="P13" s="110">
        <f t="shared" si="5"/>
        <v>82.98695652173912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1200</v>
      </c>
      <c r="F14" s="118">
        <v>227.34</v>
      </c>
      <c r="G14" s="109">
        <f t="shared" si="0"/>
        <v>-972.66</v>
      </c>
      <c r="H14" s="111">
        <f t="shared" si="1"/>
        <v>18.945</v>
      </c>
      <c r="I14" s="110">
        <f t="shared" si="2"/>
        <v>-6132.66</v>
      </c>
      <c r="J14" s="110">
        <f t="shared" si="3"/>
        <v>3.5745283018867924</v>
      </c>
      <c r="K14" s="112">
        <f>F14-146.72/75*60</f>
        <v>109.96400000000001</v>
      </c>
      <c r="L14" s="112">
        <f>F14/(146.72/75*60)*100</f>
        <v>193.68525081788442</v>
      </c>
      <c r="M14" s="111">
        <f>E14-січень!E14</f>
        <v>600</v>
      </c>
      <c r="N14" s="111">
        <f>F14-січень!F14</f>
        <v>226.3</v>
      </c>
      <c r="O14" s="112">
        <f t="shared" si="4"/>
        <v>-373.7</v>
      </c>
      <c r="P14" s="110">
        <f t="shared" si="5"/>
        <v>37.71666666666667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100</v>
      </c>
      <c r="F15" s="117">
        <v>11.81</v>
      </c>
      <c r="G15" s="36">
        <f t="shared" si="0"/>
        <v>-88.19</v>
      </c>
      <c r="H15" s="32"/>
      <c r="I15" s="42">
        <f t="shared" si="2"/>
        <v>-488.19</v>
      </c>
      <c r="J15" s="42">
        <f t="shared" si="3"/>
        <v>2.362</v>
      </c>
      <c r="K15" s="43">
        <f>F15-(-566.34)</f>
        <v>578.15</v>
      </c>
      <c r="L15" s="43">
        <f>F15/(-566.34)*100</f>
        <v>-2.0853197725747785</v>
      </c>
      <c r="M15" s="32">
        <f>E15-січень!E15</f>
        <v>100</v>
      </c>
      <c r="N15" s="32">
        <f>F15-січень!F15</f>
        <v>11.81</v>
      </c>
      <c r="O15" s="40">
        <f t="shared" si="4"/>
        <v>-88.19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32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2">
        <f>E17-січень!E17</f>
        <v>0</v>
      </c>
      <c r="N17" s="32">
        <f>F17-січень!F17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105.8</v>
      </c>
      <c r="G18" s="36">
        <f t="shared" si="0"/>
        <v>105.8</v>
      </c>
      <c r="H18" s="32"/>
      <c r="I18" s="42">
        <f t="shared" si="2"/>
        <v>95.8</v>
      </c>
      <c r="J18" s="42">
        <f t="shared" si="3"/>
        <v>1058</v>
      </c>
      <c r="K18" s="43">
        <f>F18-0.12</f>
        <v>105.67999999999999</v>
      </c>
      <c r="L18" s="112">
        <f>F18/0.12*100</f>
        <v>88166.66666666666</v>
      </c>
      <c r="M18" s="32">
        <f>E18-січень!E18</f>
        <v>0</v>
      </c>
      <c r="N18" s="32">
        <f>F18-січень!F18</f>
        <v>105.8</v>
      </c>
      <c r="O18" s="40">
        <f t="shared" si="4"/>
        <v>105.8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14200</v>
      </c>
      <c r="F19" s="125">
        <v>5576.15</v>
      </c>
      <c r="G19" s="36">
        <f t="shared" si="0"/>
        <v>-8623.85</v>
      </c>
      <c r="H19" s="32">
        <f t="shared" si="1"/>
        <v>39.26866197183098</v>
      </c>
      <c r="I19" s="42">
        <f t="shared" si="2"/>
        <v>-104323.85</v>
      </c>
      <c r="J19" s="42">
        <f t="shared" si="3"/>
        <v>5.0738398544131025</v>
      </c>
      <c r="K19" s="133">
        <f>F19-0</f>
        <v>5576.15</v>
      </c>
      <c r="L19" s="134"/>
      <c r="M19" s="32">
        <f>E19-січень!E19</f>
        <v>7200</v>
      </c>
      <c r="N19" s="32">
        <f>F19-січень!F19</f>
        <v>15.75</v>
      </c>
      <c r="O19" s="40">
        <f t="shared" si="4"/>
        <v>-7184.25</v>
      </c>
      <c r="P19" s="42">
        <f t="shared" si="5"/>
        <v>0.21875000000000003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36879</v>
      </c>
      <c r="F20" s="126">
        <f>F21+F25+F27+F26</f>
        <v>30830.84</v>
      </c>
      <c r="G20" s="36">
        <f t="shared" si="0"/>
        <v>-6048.16</v>
      </c>
      <c r="H20" s="32">
        <f t="shared" si="1"/>
        <v>83.59998915371892</v>
      </c>
      <c r="I20" s="42">
        <f t="shared" si="2"/>
        <v>-240109.16</v>
      </c>
      <c r="J20" s="42">
        <f t="shared" si="3"/>
        <v>11.379213109913634</v>
      </c>
      <c r="K20" s="132">
        <f>K21+K25+K26+K27</f>
        <v>15768.580000000002</v>
      </c>
      <c r="L20" s="110">
        <f>F20/15062.3*100</f>
        <v>204.6887925482828</v>
      </c>
      <c r="M20" s="32">
        <f>E20-січень!E20</f>
        <v>18644.5</v>
      </c>
      <c r="N20" s="32">
        <f>F20-січень!F20</f>
        <v>6033.779999999999</v>
      </c>
      <c r="O20" s="40">
        <f t="shared" si="4"/>
        <v>-12610.720000000001</v>
      </c>
      <c r="P20" s="42">
        <f t="shared" si="5"/>
        <v>32.36225160234921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19850</v>
      </c>
      <c r="F21" s="126">
        <f>F22+F23+F24</f>
        <v>12473.75</v>
      </c>
      <c r="G21" s="36">
        <f t="shared" si="0"/>
        <v>-7376.25</v>
      </c>
      <c r="H21" s="32">
        <f t="shared" si="1"/>
        <v>62.840050377833755</v>
      </c>
      <c r="I21" s="42">
        <f t="shared" si="2"/>
        <v>-148926.25</v>
      </c>
      <c r="J21" s="42">
        <f t="shared" si="3"/>
        <v>7.728469640644361</v>
      </c>
      <c r="K21" s="132">
        <f>K22+K23+K24</f>
        <v>5891.07</v>
      </c>
      <c r="L21" s="110">
        <f>F21/6582.7*100</f>
        <v>189.49291324228662</v>
      </c>
      <c r="M21" s="32">
        <f>E21-січень!E21</f>
        <v>10130</v>
      </c>
      <c r="N21" s="32">
        <f>F21-січень!F21</f>
        <v>574.4500000000007</v>
      </c>
      <c r="O21" s="40">
        <f t="shared" si="4"/>
        <v>-9555.55</v>
      </c>
      <c r="P21" s="42">
        <f t="shared" si="5"/>
        <v>5.6707798617966505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500</v>
      </c>
      <c r="F22" s="118">
        <v>3160.1</v>
      </c>
      <c r="G22" s="109">
        <f>F22-E22</f>
        <v>2660.1</v>
      </c>
      <c r="H22" s="111">
        <f t="shared" si="1"/>
        <v>632.02</v>
      </c>
      <c r="I22" s="110">
        <f t="shared" si="2"/>
        <v>-15339.9</v>
      </c>
      <c r="J22" s="110">
        <f t="shared" si="3"/>
        <v>17.081621621621622</v>
      </c>
      <c r="K22" s="110">
        <f>F22-84.67</f>
        <v>3075.43</v>
      </c>
      <c r="L22" s="110">
        <f>F22/84.67*100</f>
        <v>3732.254635644266</v>
      </c>
      <c r="M22" s="111">
        <f>E22-січень!E22</f>
        <v>250</v>
      </c>
      <c r="N22" s="111">
        <f>F22-січень!F22</f>
        <v>110.5</v>
      </c>
      <c r="O22" s="112">
        <f t="shared" si="4"/>
        <v>-139.5</v>
      </c>
      <c r="P22" s="110">
        <f t="shared" si="5"/>
        <v>44.2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40</v>
      </c>
      <c r="F23" s="118">
        <v>172.13</v>
      </c>
      <c r="G23" s="109">
        <f>F23-E23</f>
        <v>132.13</v>
      </c>
      <c r="H23" s="111">
        <f t="shared" si="1"/>
        <v>430.32500000000005</v>
      </c>
      <c r="I23" s="110">
        <f t="shared" si="2"/>
        <v>-2627.87</v>
      </c>
      <c r="J23" s="110">
        <f t="shared" si="3"/>
        <v>6.147499999999999</v>
      </c>
      <c r="K23" s="110">
        <f>F23-0</f>
        <v>172.13</v>
      </c>
      <c r="L23" s="110"/>
      <c r="M23" s="111">
        <f>E23-січень!E23</f>
        <v>20</v>
      </c>
      <c r="N23" s="111">
        <f>F23-січень!F23</f>
        <v>15.259999999999991</v>
      </c>
      <c r="O23" s="112">
        <f t="shared" si="4"/>
        <v>-4.740000000000009</v>
      </c>
      <c r="P23" s="110">
        <f t="shared" si="5"/>
        <v>76.29999999999995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19310</v>
      </c>
      <c r="F24" s="118">
        <v>9141.52</v>
      </c>
      <c r="G24" s="109">
        <f>F24-E24</f>
        <v>-10168.48</v>
      </c>
      <c r="H24" s="111">
        <f t="shared" si="1"/>
        <v>47.34085965820818</v>
      </c>
      <c r="I24" s="110">
        <f t="shared" si="2"/>
        <v>-130958.48</v>
      </c>
      <c r="J24" s="110">
        <f t="shared" si="3"/>
        <v>6.524996431120629</v>
      </c>
      <c r="K24" s="142">
        <f>F24-6498.01</f>
        <v>2643.51</v>
      </c>
      <c r="L24" s="142">
        <f>F24/6498.01*100</f>
        <v>140.68183951702136</v>
      </c>
      <c r="M24" s="111">
        <f>E24-січень!E24</f>
        <v>9860</v>
      </c>
      <c r="N24" s="111">
        <f>F24-січень!F24</f>
        <v>448.6900000000005</v>
      </c>
      <c r="O24" s="112">
        <f t="shared" si="4"/>
        <v>-9411.31</v>
      </c>
      <c r="P24" s="110">
        <f t="shared" si="5"/>
        <v>4.550608519269781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24</v>
      </c>
      <c r="F25" s="125">
        <v>2.61</v>
      </c>
      <c r="G25" s="36">
        <f>F25-E25</f>
        <v>-21.39</v>
      </c>
      <c r="H25" s="32">
        <f t="shared" si="1"/>
        <v>10.875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2">
        <f>E25-січень!E25</f>
        <v>12</v>
      </c>
      <c r="N25" s="32">
        <f>F25-січень!F25</f>
        <v>0</v>
      </c>
      <c r="O25" s="40">
        <f t="shared" si="4"/>
        <v>-12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25">
        <v>-3.29</v>
      </c>
      <c r="G26" s="36">
        <f aca="true" t="shared" si="6" ref="G26:G32">F26-E26</f>
        <v>-3.29</v>
      </c>
      <c r="H26" s="32"/>
      <c r="I26" s="42">
        <f t="shared" si="2"/>
        <v>-3.29</v>
      </c>
      <c r="J26" s="42"/>
      <c r="K26" s="132">
        <f>F26-142.7</f>
        <v>-145.98999999999998</v>
      </c>
      <c r="L26" s="132">
        <f>F26/142.7*100</f>
        <v>-2.3055360896986685</v>
      </c>
      <c r="M26" s="32">
        <f>E26-січень!E26</f>
        <v>0</v>
      </c>
      <c r="N26" s="32">
        <f>F26-січень!F26</f>
        <v>-2.94</v>
      </c>
      <c r="O26" s="40">
        <f t="shared" si="4"/>
        <v>-2.94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17005</v>
      </c>
      <c r="F27" s="125">
        <v>18357.77</v>
      </c>
      <c r="G27" s="36">
        <f t="shared" si="6"/>
        <v>1352.7700000000004</v>
      </c>
      <c r="H27" s="32">
        <f t="shared" si="1"/>
        <v>107.95513084386945</v>
      </c>
      <c r="I27" s="42">
        <f t="shared" si="2"/>
        <v>-91105.23</v>
      </c>
      <c r="J27" s="42">
        <f t="shared" si="3"/>
        <v>16.770753587970365</v>
      </c>
      <c r="K27" s="106">
        <f>F27-8334.48</f>
        <v>10023.29</v>
      </c>
      <c r="L27" s="106">
        <f>F27/8334.48*100</f>
        <v>220.26293182058149</v>
      </c>
      <c r="M27" s="32">
        <f>E27-січень!E27</f>
        <v>8502.5</v>
      </c>
      <c r="N27" s="32">
        <f>F27-січень!F27</f>
        <v>5462.27</v>
      </c>
      <c r="O27" s="40">
        <f t="shared" si="4"/>
        <v>-3040.2299999999996</v>
      </c>
      <c r="P27" s="42">
        <f t="shared" si="5"/>
        <v>64.24310496912673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6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111">
        <f>E28-січень!E28</f>
        <v>0</v>
      </c>
      <c r="N28" s="111">
        <f>F28-січень!F28</f>
        <v>0</v>
      </c>
      <c r="O28" s="112">
        <f t="shared" si="4"/>
        <v>0</v>
      </c>
      <c r="P28" s="110" t="e">
        <f t="shared" si="5"/>
        <v>#DIV/0!</v>
      </c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5000</v>
      </c>
      <c r="F29" s="118">
        <v>4088.15</v>
      </c>
      <c r="G29" s="36">
        <f t="shared" si="6"/>
        <v>-911.8499999999999</v>
      </c>
      <c r="H29" s="32">
        <f t="shared" si="1"/>
        <v>81.76299999999999</v>
      </c>
      <c r="I29" s="42">
        <f t="shared" si="2"/>
        <v>-23511.85</v>
      </c>
      <c r="J29" s="42">
        <f t="shared" si="3"/>
        <v>14.81213768115942</v>
      </c>
      <c r="K29" s="113">
        <f>F29-22211.27</f>
        <v>-18123.12</v>
      </c>
      <c r="L29" s="113">
        <f>F29/22211.27*100</f>
        <v>18.40574627205018</v>
      </c>
      <c r="M29" s="111">
        <f>E29-січень!E29</f>
        <v>2500</v>
      </c>
      <c r="N29" s="111">
        <f>F29-січень!F29</f>
        <v>1932.1800000000003</v>
      </c>
      <c r="O29" s="112">
        <f t="shared" si="4"/>
        <v>-567.8199999999997</v>
      </c>
      <c r="P29" s="110">
        <f t="shared" si="5"/>
        <v>77.28720000000001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12000</v>
      </c>
      <c r="F30" s="118">
        <v>14266.42</v>
      </c>
      <c r="G30" s="36">
        <f t="shared" si="6"/>
        <v>2266.42</v>
      </c>
      <c r="H30" s="32">
        <f t="shared" si="1"/>
        <v>118.88683333333334</v>
      </c>
      <c r="I30" s="42">
        <f t="shared" si="2"/>
        <v>-67545.58</v>
      </c>
      <c r="J30" s="42">
        <f t="shared" si="3"/>
        <v>17.438053097345133</v>
      </c>
      <c r="K30" s="113">
        <f>F30-57105.32</f>
        <v>-42838.9</v>
      </c>
      <c r="L30" s="113">
        <f>F30/57105.32*100</f>
        <v>24.98264610022324</v>
      </c>
      <c r="M30" s="111">
        <f>E30-січень!E30</f>
        <v>6000</v>
      </c>
      <c r="N30" s="111">
        <f>F30-січень!F30</f>
        <v>3530.08</v>
      </c>
      <c r="O30" s="112">
        <f t="shared" si="4"/>
        <v>-2469.92</v>
      </c>
      <c r="P30" s="110">
        <f t="shared" si="5"/>
        <v>58.83466666666667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5</v>
      </c>
      <c r="F31" s="118">
        <v>3.19</v>
      </c>
      <c r="G31" s="36">
        <f t="shared" si="6"/>
        <v>-1.81</v>
      </c>
      <c r="H31" s="32">
        <f t="shared" si="1"/>
        <v>63.800000000000004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32">
        <f>E31-січень!E31</f>
        <v>2.5</v>
      </c>
      <c r="N31" s="111">
        <f>F31-січень!F31</f>
        <v>0</v>
      </c>
      <c r="O31" s="112">
        <f t="shared" si="4"/>
        <v>-2.5</v>
      </c>
      <c r="P31" s="110">
        <f t="shared" si="5"/>
        <v>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2031.4</v>
      </c>
      <c r="F32" s="125">
        <v>0</v>
      </c>
      <c r="G32" s="36">
        <f t="shared" si="6"/>
        <v>-2031.4</v>
      </c>
      <c r="H32" s="32">
        <f t="shared" si="1"/>
        <v>0</v>
      </c>
      <c r="I32" s="42">
        <f t="shared" si="2"/>
        <v>0</v>
      </c>
      <c r="J32" s="42"/>
      <c r="K32" s="132">
        <f>F32-8.89</f>
        <v>-8.89</v>
      </c>
      <c r="L32" s="132">
        <f>F32/8.89*100</f>
        <v>0</v>
      </c>
      <c r="M32" s="32">
        <f>E32-січень!E32</f>
        <v>2030.2</v>
      </c>
      <c r="N32" s="32">
        <f>F32-січень!F32</f>
        <v>-9.9</v>
      </c>
      <c r="O32" s="40">
        <f t="shared" si="4"/>
        <v>-2040.1000000000001</v>
      </c>
      <c r="P32" s="42">
        <f t="shared" si="5"/>
        <v>-0.48763668604078414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4642.2</v>
      </c>
      <c r="F33" s="15">
        <f>F34+F35+F36+F37+F38+F39+F41+F42+F43+F44+F45+F50+F51+F55</f>
        <v>3416.8900000000003</v>
      </c>
      <c r="G33" s="15">
        <f>G34+G35+G36+G37+G38+G39+G41+G42+G43+G44+G45+G50+G51+G55</f>
        <v>-1225.3100000000002</v>
      </c>
      <c r="H33" s="38">
        <f>F33/E33*100</f>
        <v>73.60497178062127</v>
      </c>
      <c r="I33" s="28">
        <f>F33-D33</f>
        <v>-39403.11</v>
      </c>
      <c r="J33" s="28">
        <f>F33/D33*100</f>
        <v>7.97965903783279</v>
      </c>
      <c r="K33" s="15">
        <f>K34+K35+K36+K37+K38+K44+K45+K50+K51+K55+K41</f>
        <v>2393.42</v>
      </c>
      <c r="L33" s="15"/>
      <c r="M33" s="15">
        <f>M34+M35+M36+M37+M38+M39+M41+M42+M43+M44+M45+M50+M51+M55</f>
        <v>2326.1</v>
      </c>
      <c r="N33" s="15">
        <f>N34+N35+N36+N37+N38+N39+N41+N42+N43+N44+N45+N50+N51+N55</f>
        <v>1385.92</v>
      </c>
      <c r="O33" s="15">
        <f>O34+O35+O36+O37+O38+O39+O41+O42+O43+O44+O45+O50+O51+O55</f>
        <v>-940.1800000000001</v>
      </c>
      <c r="P33" s="15">
        <f>N33/M33*100</f>
        <v>59.581273376037146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10</v>
      </c>
      <c r="F34" s="117">
        <v>4.71</v>
      </c>
      <c r="G34" s="36">
        <f>F34-E34</f>
        <v>-5.29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2">
        <f>E34-січень!E34</f>
        <v>10</v>
      </c>
      <c r="N34" s="32">
        <f>F34-січень!F34</f>
        <v>0</v>
      </c>
      <c r="O34" s="40">
        <f>N34-M34</f>
        <v>-10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17">
        <v>432.1</v>
      </c>
      <c r="G35" s="36">
        <f aca="true" t="shared" si="7" ref="G35:G57">F35-E35</f>
        <v>432.1</v>
      </c>
      <c r="H35" s="32"/>
      <c r="I35" s="42">
        <f aca="true" t="shared" si="8" ref="I35:I57">F35-D35</f>
        <v>-9567.9</v>
      </c>
      <c r="J35" s="42"/>
      <c r="K35" s="42">
        <f>F35-0</f>
        <v>432.1</v>
      </c>
      <c r="L35" s="42"/>
      <c r="M35" s="32">
        <f>E35-січень!E35</f>
        <v>0</v>
      </c>
      <c r="N35" s="32">
        <f>F35-січень!F35</f>
        <v>432.1</v>
      </c>
      <c r="O35" s="40">
        <f aca="true" t="shared" si="9" ref="O35:O57">N35-M35</f>
        <v>432.1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4</v>
      </c>
      <c r="F36" s="117">
        <v>17.92</v>
      </c>
      <c r="G36" s="36">
        <f t="shared" si="7"/>
        <v>13.920000000000002</v>
      </c>
      <c r="H36" s="32">
        <f aca="true" t="shared" si="10" ref="H36:H56">F36/E36*100</f>
        <v>448.00000000000006</v>
      </c>
      <c r="I36" s="42">
        <f t="shared" si="8"/>
        <v>-382.08</v>
      </c>
      <c r="J36" s="42">
        <f aca="true" t="shared" si="11" ref="J36:J56">F36/D36*100</f>
        <v>4.48</v>
      </c>
      <c r="K36" s="42">
        <f>F36-1.67</f>
        <v>16.25</v>
      </c>
      <c r="L36" s="42">
        <f>F36/1.67*100</f>
        <v>1073.053892215569</v>
      </c>
      <c r="M36" s="32">
        <f>E36-січень!E36</f>
        <v>2</v>
      </c>
      <c r="N36" s="32">
        <f>F36-січень!F36</f>
        <v>0.08000000000000185</v>
      </c>
      <c r="O36" s="40">
        <f t="shared" si="9"/>
        <v>-1.9199999999999982</v>
      </c>
      <c r="P36" s="42">
        <f aca="true" t="shared" si="12" ref="P36:P56">N36/M36*100</f>
        <v>4.000000000000092</v>
      </c>
      <c r="Q36" s="42"/>
      <c r="R36" s="100"/>
    </row>
    <row r="37" spans="1:18" s="6" customFormat="1" ht="30.75" hidden="1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2">
        <f>E37-січень!E37</f>
        <v>0</v>
      </c>
      <c r="N37" s="32">
        <f>F37-січень!F37</f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16</v>
      </c>
      <c r="F38" s="117">
        <v>-2.1</v>
      </c>
      <c r="G38" s="36">
        <f t="shared" si="7"/>
        <v>-18.1</v>
      </c>
      <c r="H38" s="32">
        <f t="shared" si="10"/>
        <v>-13.125</v>
      </c>
      <c r="I38" s="42">
        <f t="shared" si="8"/>
        <v>-152.1</v>
      </c>
      <c r="J38" s="42">
        <f t="shared" si="11"/>
        <v>-1.4000000000000001</v>
      </c>
      <c r="K38" s="42">
        <f>F38-7.6</f>
        <v>-9.7</v>
      </c>
      <c r="L38" s="42">
        <f>F38/7.6*100</f>
        <v>-27.631578947368425</v>
      </c>
      <c r="M38" s="32">
        <f>E38-січень!E38</f>
        <v>8</v>
      </c>
      <c r="N38" s="32">
        <f>F38-січень!F38</f>
        <v>4.300000000000001</v>
      </c>
      <c r="O38" s="40">
        <f t="shared" si="9"/>
        <v>-3.6999999999999993</v>
      </c>
      <c r="P38" s="42">
        <f t="shared" si="12"/>
        <v>53.75000000000001</v>
      </c>
      <c r="Q38" s="42"/>
      <c r="R38" s="100"/>
    </row>
    <row r="39" spans="1:18" s="6" customFormat="1" ht="30.75">
      <c r="A39" s="8"/>
      <c r="B39" s="145" t="s">
        <v>126</v>
      </c>
      <c r="C39" s="54">
        <v>22010300</v>
      </c>
      <c r="D39" s="33">
        <v>90</v>
      </c>
      <c r="E39" s="33"/>
      <c r="F39" s="117">
        <v>0</v>
      </c>
      <c r="G39" s="36">
        <f t="shared" si="7"/>
        <v>0</v>
      </c>
      <c r="H39" s="32" t="e">
        <f t="shared" si="10"/>
        <v>#DIV/0!</v>
      </c>
      <c r="I39" s="42">
        <f t="shared" si="8"/>
        <v>-90</v>
      </c>
      <c r="J39" s="42">
        <f t="shared" si="11"/>
        <v>0</v>
      </c>
      <c r="K39" s="42">
        <f>F39-0</f>
        <v>0</v>
      </c>
      <c r="L39" s="42"/>
      <c r="M39" s="32">
        <f>E39-січень!E39</f>
        <v>0</v>
      </c>
      <c r="N39" s="32">
        <f>F39-січень!F39</f>
        <v>0</v>
      </c>
      <c r="O39" s="40">
        <f t="shared" si="9"/>
        <v>0</v>
      </c>
      <c r="P39" s="42" t="e">
        <f t="shared" si="12"/>
        <v>#DIV/0!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2">
        <f>E40-січень!E40</f>
        <v>0</v>
      </c>
      <c r="N40" s="32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1500</v>
      </c>
      <c r="F41" s="117">
        <v>705.98</v>
      </c>
      <c r="G41" s="36">
        <f t="shared" si="7"/>
        <v>-794.02</v>
      </c>
      <c r="H41" s="32">
        <f t="shared" si="10"/>
        <v>47.065333333333335</v>
      </c>
      <c r="I41" s="42">
        <f t="shared" si="8"/>
        <v>-9194.02</v>
      </c>
      <c r="J41" s="42">
        <f t="shared" si="11"/>
        <v>7.131111111111112</v>
      </c>
      <c r="K41" s="42">
        <f>F41-0</f>
        <v>705.98</v>
      </c>
      <c r="L41" s="42"/>
      <c r="M41" s="32">
        <f>E41-січень!E41</f>
        <v>750</v>
      </c>
      <c r="N41" s="32">
        <f>F41-січень!F41</f>
        <v>166.96000000000004</v>
      </c>
      <c r="O41" s="40">
        <f t="shared" si="9"/>
        <v>-583.04</v>
      </c>
      <c r="P41" s="42">
        <f t="shared" si="12"/>
        <v>22.26133333333334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17">
        <v>1.09</v>
      </c>
      <c r="G42" s="36">
        <f t="shared" si="7"/>
        <v>1.09</v>
      </c>
      <c r="H42" s="32"/>
      <c r="I42" s="42">
        <f t="shared" si="8"/>
        <v>-1498.91</v>
      </c>
      <c r="J42" s="42"/>
      <c r="K42" s="42"/>
      <c r="L42" s="42"/>
      <c r="M42" s="32">
        <f>E42-січень!E42</f>
        <v>0</v>
      </c>
      <c r="N42" s="32">
        <f>F42-січень!F42</f>
        <v>0.06000000000000005</v>
      </c>
      <c r="O42" s="40">
        <f t="shared" si="9"/>
        <v>0.06000000000000005</v>
      </c>
      <c r="P42" s="42"/>
      <c r="Q42" s="42"/>
      <c r="R42" s="100"/>
    </row>
    <row r="43" spans="1:18" s="6" customFormat="1" ht="30.75">
      <c r="A43" s="8"/>
      <c r="B43" s="35" t="s">
        <v>127</v>
      </c>
      <c r="C43" s="77">
        <v>22012900</v>
      </c>
      <c r="D43" s="33">
        <v>50</v>
      </c>
      <c r="E43" s="33"/>
      <c r="F43" s="117"/>
      <c r="G43" s="36"/>
      <c r="H43" s="32"/>
      <c r="I43" s="42"/>
      <c r="J43" s="42"/>
      <c r="K43" s="42"/>
      <c r="L43" s="42"/>
      <c r="M43" s="32">
        <f>E43-січень!E43</f>
        <v>0</v>
      </c>
      <c r="N43" s="32">
        <f>F43-січень!F43</f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1400</v>
      </c>
      <c r="F44" s="117">
        <v>1303.31</v>
      </c>
      <c r="G44" s="36">
        <f t="shared" si="7"/>
        <v>-96.69000000000005</v>
      </c>
      <c r="H44" s="32">
        <f t="shared" si="10"/>
        <v>93.09357142857142</v>
      </c>
      <c r="I44" s="42">
        <f t="shared" si="8"/>
        <v>-7196.6900000000005</v>
      </c>
      <c r="J44" s="42">
        <f t="shared" si="11"/>
        <v>15.333058823529411</v>
      </c>
      <c r="K44" s="42">
        <f>F44-690.7</f>
        <v>612.6099999999999</v>
      </c>
      <c r="L44" s="42">
        <f>F44/690.7*100</f>
        <v>188.69407847111623</v>
      </c>
      <c r="M44" s="32">
        <f>E44-січень!E44</f>
        <v>700</v>
      </c>
      <c r="N44" s="32">
        <f>F44-січень!F44</f>
        <v>587.0799999999999</v>
      </c>
      <c r="O44" s="40">
        <f t="shared" si="9"/>
        <v>-112.92000000000007</v>
      </c>
      <c r="P44" s="42">
        <f t="shared" si="12"/>
        <v>83.86857142857141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1012.2</v>
      </c>
      <c r="F45" s="117">
        <v>536.9</v>
      </c>
      <c r="G45" s="36">
        <f t="shared" si="7"/>
        <v>-475.30000000000007</v>
      </c>
      <c r="H45" s="32">
        <f t="shared" si="10"/>
        <v>53.04287690179807</v>
      </c>
      <c r="I45" s="42">
        <f t="shared" si="8"/>
        <v>-6763.1</v>
      </c>
      <c r="J45" s="42">
        <f t="shared" si="11"/>
        <v>7.354794520547944</v>
      </c>
      <c r="K45" s="132">
        <f>F45-59.21</f>
        <v>477.69</v>
      </c>
      <c r="L45" s="132">
        <f>F45/59.21*100</f>
        <v>906.7725046444856</v>
      </c>
      <c r="M45" s="152">
        <f>E45-січень!E45</f>
        <v>506.1</v>
      </c>
      <c r="N45" s="152">
        <f>F45-січень!F45</f>
        <v>128.7</v>
      </c>
      <c r="O45" s="40">
        <f t="shared" si="9"/>
        <v>-377.40000000000003</v>
      </c>
      <c r="P45" s="132">
        <f t="shared" si="12"/>
        <v>25.429756965026673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110</v>
      </c>
      <c r="F46" s="118">
        <v>32.25</v>
      </c>
      <c r="G46" s="36">
        <f t="shared" si="7"/>
        <v>-77.75</v>
      </c>
      <c r="H46" s="111">
        <f t="shared" si="10"/>
        <v>29.318181818181817</v>
      </c>
      <c r="I46" s="110">
        <f t="shared" si="8"/>
        <v>-1067.75</v>
      </c>
      <c r="J46" s="110">
        <f t="shared" si="11"/>
        <v>2.931818181818182</v>
      </c>
      <c r="K46" s="110">
        <f>F46-857.86</f>
        <v>-825.61</v>
      </c>
      <c r="L46" s="110">
        <f>F46/857.86*100</f>
        <v>3.7593546732567082</v>
      </c>
      <c r="M46" s="111">
        <f>E46-січень!E46</f>
        <v>55</v>
      </c>
      <c r="N46" s="111">
        <f>F46-січень!F46</f>
        <v>6.260000000000002</v>
      </c>
      <c r="O46" s="112">
        <f t="shared" si="9"/>
        <v>-48.739999999999995</v>
      </c>
      <c r="P46" s="110">
        <f t="shared" si="12"/>
        <v>11.381818181818184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</v>
      </c>
      <c r="F47" s="118">
        <v>0.04</v>
      </c>
      <c r="G47" s="36">
        <f t="shared" si="7"/>
        <v>-1.96</v>
      </c>
      <c r="H47" s="111">
        <f t="shared" si="10"/>
        <v>2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11">
        <f>E47-січень!E47</f>
        <v>1</v>
      </c>
      <c r="N47" s="111">
        <f>F47-січень!F47</f>
        <v>0</v>
      </c>
      <c r="O47" s="112">
        <f t="shared" si="9"/>
        <v>-1</v>
      </c>
      <c r="P47" s="110">
        <f t="shared" si="12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0.2</v>
      </c>
      <c r="F48" s="118">
        <v>0</v>
      </c>
      <c r="G48" s="36">
        <f t="shared" si="7"/>
        <v>-0.2</v>
      </c>
      <c r="H48" s="111">
        <f t="shared" si="10"/>
        <v>0</v>
      </c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11">
        <f>E48-січень!E48</f>
        <v>0.1</v>
      </c>
      <c r="N48" s="111">
        <f>F48-січень!F48</f>
        <v>0</v>
      </c>
      <c r="O48" s="112">
        <f t="shared" si="9"/>
        <v>-0.1</v>
      </c>
      <c r="P48" s="110">
        <f t="shared" si="12"/>
        <v>0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900</v>
      </c>
      <c r="F49" s="118">
        <v>504.62</v>
      </c>
      <c r="G49" s="36">
        <f t="shared" si="7"/>
        <v>-395.38</v>
      </c>
      <c r="H49" s="111">
        <f t="shared" si="10"/>
        <v>56.06888888888889</v>
      </c>
      <c r="I49" s="110">
        <f t="shared" si="8"/>
        <v>-5649.38</v>
      </c>
      <c r="J49" s="110">
        <f t="shared" si="11"/>
        <v>8.199870003249918</v>
      </c>
      <c r="K49" s="110">
        <f>F49-117.58</f>
        <v>387.04</v>
      </c>
      <c r="L49" s="110">
        <f>F49/117.58*100</f>
        <v>429.17162782786187</v>
      </c>
      <c r="M49" s="111">
        <f>E49-січень!E49</f>
        <v>450</v>
      </c>
      <c r="N49" s="111">
        <f>F49-січень!F49</f>
        <v>122.44999999999999</v>
      </c>
      <c r="O49" s="112">
        <f t="shared" si="9"/>
        <v>-327.55</v>
      </c>
      <c r="P49" s="110">
        <f t="shared" si="12"/>
        <v>27.21111111111111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</v>
      </c>
      <c r="F50" s="117">
        <v>0.17</v>
      </c>
      <c r="G50" s="36">
        <f t="shared" si="7"/>
        <v>0.17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2">
        <f>E50-січень!E50</f>
        <v>0</v>
      </c>
      <c r="N50" s="32">
        <f>F50-січень!F50</f>
        <v>0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700</v>
      </c>
      <c r="F51" s="117">
        <v>384.62</v>
      </c>
      <c r="G51" s="36">
        <f t="shared" si="7"/>
        <v>-315.38</v>
      </c>
      <c r="H51" s="32">
        <f t="shared" si="10"/>
        <v>54.94571428571429</v>
      </c>
      <c r="I51" s="42">
        <f t="shared" si="8"/>
        <v>-4415.38</v>
      </c>
      <c r="J51" s="42">
        <f t="shared" si="11"/>
        <v>8.012916666666667</v>
      </c>
      <c r="K51" s="42">
        <f>F51-263.2</f>
        <v>121.42000000000002</v>
      </c>
      <c r="L51" s="42">
        <f>F51/3812.69*100</f>
        <v>10.087890701840433</v>
      </c>
      <c r="M51" s="32">
        <f>E51-січень!E51</f>
        <v>350</v>
      </c>
      <c r="N51" s="32">
        <f>F51-січень!F51</f>
        <v>66.63999999999999</v>
      </c>
      <c r="O51" s="40">
        <f t="shared" si="9"/>
        <v>-283.36</v>
      </c>
      <c r="P51" s="42">
        <f t="shared" si="12"/>
        <v>19.039999999999996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2">
        <f>E52-січень!E52</f>
        <v>0</v>
      </c>
      <c r="N52" s="32">
        <f>F52-січень!F52</f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18">
        <v>100</v>
      </c>
      <c r="G53" s="36">
        <f t="shared" si="7"/>
        <v>100</v>
      </c>
      <c r="H53" s="32"/>
      <c r="I53" s="42">
        <f t="shared" si="8"/>
        <v>100</v>
      </c>
      <c r="J53" s="42"/>
      <c r="K53" s="112">
        <f>F53-82.7</f>
        <v>17.299999999999997</v>
      </c>
      <c r="L53" s="112">
        <f>F53/82.7*100</f>
        <v>120.91898428053204</v>
      </c>
      <c r="M53" s="111">
        <f>E53-січень!E53</f>
        <v>0</v>
      </c>
      <c r="N53" s="111">
        <f>F53-січень!F53</f>
        <v>29.799999999999997</v>
      </c>
      <c r="O53" s="112">
        <f t="shared" si="9"/>
        <v>29.799999999999997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2">
        <f>E54-січень!E54</f>
        <v>0</v>
      </c>
      <c r="N54" s="32">
        <f>F54-січень!F54</f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0</v>
      </c>
      <c r="F55" s="117">
        <v>32.19</v>
      </c>
      <c r="G55" s="36">
        <f t="shared" si="7"/>
        <v>32.19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2">
        <f>E55-січень!E55</f>
        <v>0</v>
      </c>
      <c r="N55" s="32">
        <f>F55-січень!F55</f>
        <v>0</v>
      </c>
      <c r="O55" s="40">
        <f t="shared" si="9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2</v>
      </c>
      <c r="F56" s="117">
        <v>1</v>
      </c>
      <c r="G56" s="36">
        <f t="shared" si="7"/>
        <v>-1</v>
      </c>
      <c r="H56" s="32">
        <f t="shared" si="10"/>
        <v>50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2">
        <f>E56-січень!E56</f>
        <v>1</v>
      </c>
      <c r="N56" s="32">
        <f>F56-січень!F56</f>
        <v>0</v>
      </c>
      <c r="O56" s="40">
        <f t="shared" si="9"/>
        <v>-1</v>
      </c>
      <c r="P56" s="42">
        <f t="shared" si="12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1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2">
        <f>E57-січень!E57</f>
        <v>0</v>
      </c>
      <c r="N57" s="32">
        <f>F57-січень!F57</f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109957.62999999999</v>
      </c>
      <c r="F58" s="15">
        <f>F8+F33+F56+F57</f>
        <v>78369.92</v>
      </c>
      <c r="G58" s="37">
        <f>F58-E58</f>
        <v>-31587.709999999992</v>
      </c>
      <c r="H58" s="38">
        <f>F58/E58*100</f>
        <v>71.27283481828411</v>
      </c>
      <c r="I58" s="28">
        <f>F58-D58</f>
        <v>-805530.6799999999</v>
      </c>
      <c r="J58" s="28">
        <f>F58/D58*100</f>
        <v>8.866372531028942</v>
      </c>
      <c r="K58" s="28">
        <f>K8+K33+K56+K57</f>
        <v>39630.32</v>
      </c>
      <c r="L58" s="28">
        <f>F58/38738.5*100</f>
        <v>202.3049937400777</v>
      </c>
      <c r="M58" s="15">
        <f>M8+M33+M56+M57</f>
        <v>55063.30999999999</v>
      </c>
      <c r="N58" s="15">
        <f>N8+N33+N56+N57</f>
        <v>15757.319999999998</v>
      </c>
      <c r="O58" s="41">
        <f>N58-M58</f>
        <v>-39305.98999999999</v>
      </c>
      <c r="P58" s="28">
        <f>N58/M58*100</f>
        <v>28.616732266912397</v>
      </c>
      <c r="Q58" s="28">
        <f>N58-34768</f>
        <v>-19010.68</v>
      </c>
      <c r="R58" s="128">
        <f>N58/34768</f>
        <v>0.453213299585826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20">
        <v>0.07</v>
      </c>
      <c r="G67" s="36">
        <f aca="true" t="shared" si="13" ref="G67:G77">F67-E67</f>
        <v>0.07</v>
      </c>
      <c r="H67" s="32"/>
      <c r="I67" s="43">
        <f aca="true" t="shared" si="14" ref="I67:I77">F67-D67</f>
        <v>-4199.93</v>
      </c>
      <c r="J67" s="43"/>
      <c r="K67" s="43">
        <f>F67-0.03</f>
        <v>0.04000000000000001</v>
      </c>
      <c r="L67" s="43">
        <f>F67/0.03*100</f>
        <v>233.33333333333334</v>
      </c>
      <c r="M67" s="32">
        <f>E67-січень!E67</f>
        <v>0</v>
      </c>
      <c r="N67" s="32">
        <f>F67-січень!F67</f>
        <v>0.010000000000000009</v>
      </c>
      <c r="O67" s="40">
        <f aca="true" t="shared" si="15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20">
        <v>34.56</v>
      </c>
      <c r="G68" s="36">
        <f t="shared" si="13"/>
        <v>34.56</v>
      </c>
      <c r="H68" s="32"/>
      <c r="I68" s="43">
        <f t="shared" si="14"/>
        <v>-7424.44</v>
      </c>
      <c r="J68" s="43"/>
      <c r="K68" s="43">
        <f>F68-259.69</f>
        <v>-225.13</v>
      </c>
      <c r="L68" s="43">
        <f>F68/259.69*100</f>
        <v>13.308175131888023</v>
      </c>
      <c r="M68" s="32">
        <f>E68-січень!E68</f>
        <v>0</v>
      </c>
      <c r="N68" s="32">
        <f>F68-січень!F68</f>
        <v>11.650000000000002</v>
      </c>
      <c r="O68" s="40">
        <f t="shared" si="15"/>
        <v>11.650000000000002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20">
        <v>298.13</v>
      </c>
      <c r="G69" s="36">
        <f t="shared" si="13"/>
        <v>298.13</v>
      </c>
      <c r="H69" s="32"/>
      <c r="I69" s="43">
        <f t="shared" si="14"/>
        <v>-5701.87</v>
      </c>
      <c r="J69" s="43"/>
      <c r="K69" s="43">
        <f>F69-(-16.04)</f>
        <v>314.17</v>
      </c>
      <c r="L69" s="43">
        <f>F69/(-16.04)*100</f>
        <v>-1858.6658354114713</v>
      </c>
      <c r="M69" s="32">
        <f>E69-січень!E69</f>
        <v>0</v>
      </c>
      <c r="N69" s="32">
        <f>F69-січень!F69</f>
        <v>15.279999999999973</v>
      </c>
      <c r="O69" s="40">
        <f t="shared" si="15"/>
        <v>15.279999999999973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20">
        <v>1</v>
      </c>
      <c r="G70" s="36">
        <f t="shared" si="13"/>
        <v>1</v>
      </c>
      <c r="H70" s="32"/>
      <c r="I70" s="43">
        <f t="shared" si="14"/>
        <v>-11</v>
      </c>
      <c r="J70" s="43"/>
      <c r="K70" s="43"/>
      <c r="L70" s="43"/>
      <c r="M70" s="32">
        <f>E70-січень!E70</f>
        <v>0</v>
      </c>
      <c r="N70" s="32">
        <f>F70-січень!F70</f>
        <v>0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333.76</v>
      </c>
      <c r="G71" s="45">
        <f t="shared" si="13"/>
        <v>333.76</v>
      </c>
      <c r="H71" s="52"/>
      <c r="I71" s="44">
        <f t="shared" si="14"/>
        <v>-17337.24</v>
      </c>
      <c r="J71" s="44"/>
      <c r="K71" s="44">
        <f>K67+K68+K69</f>
        <v>89.08000000000001</v>
      </c>
      <c r="L71" s="44">
        <f>F71/243.68*100</f>
        <v>136.96651346027576</v>
      </c>
      <c r="M71" s="45">
        <f>M67+M68+M69</f>
        <v>0</v>
      </c>
      <c r="N71" s="45">
        <f>N67+N68+N69</f>
        <v>26.939999999999976</v>
      </c>
      <c r="O71" s="44">
        <f t="shared" si="15"/>
        <v>26.939999999999976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>
        <f>F72/35.01*100</f>
        <v>0</v>
      </c>
      <c r="M72" s="32">
        <f>E72-січень!E72</f>
        <v>0</v>
      </c>
      <c r="N72" s="32">
        <f>F72-січень!F72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32">
        <f>F73-січень!F73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13.65</v>
      </c>
      <c r="G74" s="36"/>
      <c r="H74" s="32"/>
      <c r="I74" s="43">
        <f t="shared" si="14"/>
        <v>-9486.35</v>
      </c>
      <c r="J74" s="40">
        <f>F74/D74*100</f>
        <v>0.1436842105263158</v>
      </c>
      <c r="K74" s="40"/>
      <c r="L74" s="43"/>
      <c r="M74" s="32"/>
      <c r="N74" s="32"/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32">
        <f>E75-січень!E74</f>
        <v>0</v>
      </c>
      <c r="N75" s="32">
        <f>F75-січень!F74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13.77</v>
      </c>
      <c r="G76" s="30">
        <f>G72+G75+G73+G74</f>
        <v>0.12</v>
      </c>
      <c r="H76" s="52"/>
      <c r="I76" s="44">
        <f t="shared" si="14"/>
        <v>-9487.23</v>
      </c>
      <c r="J76" s="44"/>
      <c r="K76" s="44">
        <f>K72+K73+K75</f>
        <v>-0.05000000000000002</v>
      </c>
      <c r="L76" s="44">
        <f>F76/0.17*100</f>
        <v>8099.999999999998</v>
      </c>
      <c r="M76" s="45">
        <f>M72+M75+M73+M74</f>
        <v>0</v>
      </c>
      <c r="N76" s="45">
        <f>N72+N75+N73+N74</f>
        <v>0</v>
      </c>
      <c r="O76" s="45">
        <f>O72+O75+O73+O74</f>
        <v>0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32">
        <f>E77-січень!E76</f>
        <v>0</v>
      </c>
      <c r="N77" s="32">
        <f>F77-січень!F76</f>
        <v>0</v>
      </c>
      <c r="O77" s="40">
        <f t="shared" si="15"/>
        <v>0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356.35999999999996</v>
      </c>
      <c r="G79" s="37">
        <f>F79-E79</f>
        <v>356.35999999999996</v>
      </c>
      <c r="H79" s="38"/>
      <c r="I79" s="28">
        <f>F79-D79</f>
        <v>-26858.64</v>
      </c>
      <c r="J79" s="28"/>
      <c r="K79" s="28">
        <f>K65+K71+K76+K77</f>
        <v>84.12000000000002</v>
      </c>
      <c r="L79" s="28">
        <f>F79/248.84*100</f>
        <v>143.2084873814499</v>
      </c>
      <c r="M79" s="24">
        <f>M65+M77+M71+M76</f>
        <v>0</v>
      </c>
      <c r="N79" s="24">
        <f>N65+N77+N71+N76+N78</f>
        <v>26.939999999999976</v>
      </c>
      <c r="O79" s="28">
        <f t="shared" si="15"/>
        <v>26.939999999999976</v>
      </c>
      <c r="P79" s="28"/>
      <c r="Q79" s="28">
        <f>N79-8104.96</f>
        <v>-8078.02</v>
      </c>
      <c r="R79" s="101">
        <f>N79/8104.96</f>
        <v>0.003323890555906504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109957.62999999999</v>
      </c>
      <c r="F80" s="24">
        <f>F58+F79</f>
        <v>78726.28</v>
      </c>
      <c r="G80" s="37">
        <f>F80-E80</f>
        <v>-31231.34999999999</v>
      </c>
      <c r="H80" s="38">
        <f>F80/E80*100</f>
        <v>71.59692328763362</v>
      </c>
      <c r="I80" s="28">
        <f>F80-D80</f>
        <v>-832389.32</v>
      </c>
      <c r="J80" s="28">
        <f>F80/D80*100</f>
        <v>8.640646697301637</v>
      </c>
      <c r="K80" s="28">
        <f>K58+K79</f>
        <v>39714.44</v>
      </c>
      <c r="L80" s="28">
        <f>F80/38987.36*100</f>
        <v>201.92770169613948</v>
      </c>
      <c r="M80" s="15">
        <f>M58+M79</f>
        <v>55063.30999999999</v>
      </c>
      <c r="N80" s="15">
        <f>N58+N79</f>
        <v>15784.259999999998</v>
      </c>
      <c r="O80" s="28">
        <f t="shared" si="15"/>
        <v>-39279.04999999999</v>
      </c>
      <c r="P80" s="28">
        <f>N80/M80*100</f>
        <v>28.665657767395388</v>
      </c>
      <c r="Q80" s="28">
        <f>N80-42872.96</f>
        <v>-27088.7</v>
      </c>
      <c r="R80" s="101">
        <f>N80/42872.96</f>
        <v>0.3681635231157354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16</v>
      </c>
      <c r="D82" s="4" t="s">
        <v>36</v>
      </c>
    </row>
    <row r="83" spans="2:17" ht="30.75">
      <c r="B83" s="57" t="s">
        <v>54</v>
      </c>
      <c r="C83" s="31">
        <f>IF(O58&lt;0,ABS(O58/C82),0)</f>
        <v>2456.6243749999994</v>
      </c>
      <c r="D83" s="4" t="s">
        <v>24</v>
      </c>
      <c r="G83" s="184"/>
      <c r="H83" s="184"/>
      <c r="I83" s="184"/>
      <c r="J83" s="184"/>
      <c r="K83" s="90"/>
      <c r="L83" s="90"/>
      <c r="P83" s="26"/>
      <c r="Q83" s="26"/>
    </row>
    <row r="84" spans="2:15" ht="34.5" customHeight="1">
      <c r="B84" s="58" t="s">
        <v>56</v>
      </c>
      <c r="C84" s="87">
        <v>42405</v>
      </c>
      <c r="D84" s="31">
        <v>6515.4</v>
      </c>
      <c r="G84" s="4" t="s">
        <v>59</v>
      </c>
      <c r="N84" s="177"/>
      <c r="O84" s="177"/>
    </row>
    <row r="85" spans="3:15" ht="15">
      <c r="C85" s="87">
        <v>42404</v>
      </c>
      <c r="D85" s="31">
        <v>3468.5</v>
      </c>
      <c r="F85" s="124" t="s">
        <v>59</v>
      </c>
      <c r="G85" s="171"/>
      <c r="H85" s="171"/>
      <c r="I85" s="131"/>
      <c r="J85" s="174"/>
      <c r="K85" s="174"/>
      <c r="L85" s="174"/>
      <c r="M85" s="174"/>
      <c r="N85" s="177"/>
      <c r="O85" s="177"/>
    </row>
    <row r="86" spans="3:15" ht="15.75" customHeight="1">
      <c r="C86" s="87">
        <v>42403</v>
      </c>
      <c r="D86" s="31">
        <v>2450.7</v>
      </c>
      <c r="F86" s="73"/>
      <c r="G86" s="171"/>
      <c r="H86" s="171"/>
      <c r="I86" s="131"/>
      <c r="J86" s="178"/>
      <c r="K86" s="178"/>
      <c r="L86" s="178"/>
      <c r="M86" s="178"/>
      <c r="N86" s="177"/>
      <c r="O86" s="177"/>
    </row>
    <row r="87" spans="3:13" ht="15.75" customHeight="1">
      <c r="C87" s="87"/>
      <c r="F87" s="73"/>
      <c r="G87" s="173"/>
      <c r="H87" s="173"/>
      <c r="I87" s="139"/>
      <c r="J87" s="174"/>
      <c r="K87" s="174"/>
      <c r="L87" s="174"/>
      <c r="M87" s="174"/>
    </row>
    <row r="88" spans="2:13" ht="18.75" customHeight="1">
      <c r="B88" s="175" t="s">
        <v>57</v>
      </c>
      <c r="C88" s="176"/>
      <c r="D88" s="148">
        <v>327.85499</v>
      </c>
      <c r="E88" s="74"/>
      <c r="F88" s="140"/>
      <c r="G88" s="171"/>
      <c r="H88" s="171"/>
      <c r="I88" s="141"/>
      <c r="J88" s="174"/>
      <c r="K88" s="174"/>
      <c r="L88" s="174"/>
      <c r="M88" s="174"/>
    </row>
    <row r="89" spans="6:12" ht="9.75" customHeight="1">
      <c r="F89" s="73"/>
      <c r="G89" s="171"/>
      <c r="H89" s="171"/>
      <c r="I89" s="73"/>
      <c r="J89" s="74"/>
      <c r="K89" s="74"/>
      <c r="L89" s="74"/>
    </row>
    <row r="90" spans="2:12" ht="22.5" customHeight="1" hidden="1">
      <c r="B90" s="169" t="s">
        <v>60</v>
      </c>
      <c r="C90" s="170"/>
      <c r="D90" s="86">
        <v>0</v>
      </c>
      <c r="E90" s="56" t="s">
        <v>24</v>
      </c>
      <c r="F90" s="73"/>
      <c r="G90" s="171"/>
      <c r="H90" s="17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71"/>
      <c r="O91" s="171"/>
    </row>
    <row r="92" spans="4:15" ht="15">
      <c r="D92" s="83"/>
      <c r="I92" s="31"/>
      <c r="N92" s="172"/>
      <c r="O92" s="172"/>
    </row>
    <row r="93" spans="14:15" ht="15">
      <c r="N93" s="171"/>
      <c r="O93" s="17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47" sqref="T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1" t="s">
        <v>114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92"/>
      <c r="R1" s="93"/>
    </row>
    <row r="2" spans="2:18" s="1" customFormat="1" ht="15.75" customHeight="1">
      <c r="B2" s="192"/>
      <c r="C2" s="192"/>
      <c r="D2" s="19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3"/>
      <c r="B3" s="195"/>
      <c r="C3" s="196" t="s">
        <v>0</v>
      </c>
      <c r="D3" s="197" t="s">
        <v>115</v>
      </c>
      <c r="E3" s="34"/>
      <c r="F3" s="198" t="s">
        <v>26</v>
      </c>
      <c r="G3" s="199"/>
      <c r="H3" s="199"/>
      <c r="I3" s="199"/>
      <c r="J3" s="200"/>
      <c r="K3" s="89"/>
      <c r="L3" s="89"/>
      <c r="M3" s="201" t="s">
        <v>107</v>
      </c>
      <c r="N3" s="202" t="s">
        <v>66</v>
      </c>
      <c r="O3" s="202"/>
      <c r="P3" s="202"/>
      <c r="Q3" s="202"/>
      <c r="R3" s="202"/>
    </row>
    <row r="4" spans="1:18" ht="22.5" customHeight="1">
      <c r="A4" s="193"/>
      <c r="B4" s="195"/>
      <c r="C4" s="196"/>
      <c r="D4" s="197"/>
      <c r="E4" s="203" t="s">
        <v>104</v>
      </c>
      <c r="F4" s="205" t="s">
        <v>34</v>
      </c>
      <c r="G4" s="179" t="s">
        <v>109</v>
      </c>
      <c r="H4" s="187" t="s">
        <v>110</v>
      </c>
      <c r="I4" s="179" t="s">
        <v>105</v>
      </c>
      <c r="J4" s="187" t="s">
        <v>106</v>
      </c>
      <c r="K4" s="91" t="s">
        <v>65</v>
      </c>
      <c r="L4" s="96" t="s">
        <v>64</v>
      </c>
      <c r="M4" s="187"/>
      <c r="N4" s="189" t="s">
        <v>103</v>
      </c>
      <c r="O4" s="179" t="s">
        <v>50</v>
      </c>
      <c r="P4" s="181" t="s">
        <v>49</v>
      </c>
      <c r="Q4" s="97" t="s">
        <v>65</v>
      </c>
      <c r="R4" s="98" t="s">
        <v>64</v>
      </c>
    </row>
    <row r="5" spans="1:18" ht="76.5" customHeight="1">
      <c r="A5" s="194"/>
      <c r="B5" s="195"/>
      <c r="C5" s="196"/>
      <c r="D5" s="197"/>
      <c r="E5" s="204"/>
      <c r="F5" s="206"/>
      <c r="G5" s="180"/>
      <c r="H5" s="188"/>
      <c r="I5" s="180"/>
      <c r="J5" s="188"/>
      <c r="K5" s="182" t="s">
        <v>108</v>
      </c>
      <c r="L5" s="183"/>
      <c r="M5" s="188"/>
      <c r="N5" s="190"/>
      <c r="O5" s="180"/>
      <c r="P5" s="181"/>
      <c r="Q5" s="182" t="s">
        <v>128</v>
      </c>
      <c r="R5" s="18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v>2.2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84"/>
      <c r="H82" s="184"/>
      <c r="I82" s="184"/>
      <c r="J82" s="18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77"/>
      <c r="O83" s="177"/>
    </row>
    <row r="84" spans="3:15" ht="15">
      <c r="C84" s="87">
        <v>42397</v>
      </c>
      <c r="D84" s="31">
        <v>8685</v>
      </c>
      <c r="F84" s="166" t="s">
        <v>59</v>
      </c>
      <c r="G84" s="171"/>
      <c r="H84" s="171"/>
      <c r="I84" s="131"/>
      <c r="J84" s="174"/>
      <c r="K84" s="174"/>
      <c r="L84" s="174"/>
      <c r="M84" s="174"/>
      <c r="N84" s="177"/>
      <c r="O84" s="177"/>
    </row>
    <row r="85" spans="3:15" ht="15.75" customHeight="1">
      <c r="C85" s="87">
        <v>42396</v>
      </c>
      <c r="D85" s="31">
        <v>4820.3</v>
      </c>
      <c r="F85" s="167"/>
      <c r="G85" s="171"/>
      <c r="H85" s="171"/>
      <c r="I85" s="131"/>
      <c r="J85" s="178"/>
      <c r="K85" s="178"/>
      <c r="L85" s="178"/>
      <c r="M85" s="178"/>
      <c r="N85" s="177"/>
      <c r="O85" s="177"/>
    </row>
    <row r="86" spans="3:13" ht="15.75" customHeight="1">
      <c r="C86" s="87"/>
      <c r="F86" s="167"/>
      <c r="G86" s="173"/>
      <c r="H86" s="173"/>
      <c r="I86" s="139"/>
      <c r="J86" s="174"/>
      <c r="K86" s="174"/>
      <c r="L86" s="174"/>
      <c r="M86" s="174"/>
    </row>
    <row r="87" spans="2:13" ht="18.75" customHeight="1">
      <c r="B87" s="175" t="s">
        <v>57</v>
      </c>
      <c r="C87" s="176"/>
      <c r="D87" s="148">
        <v>300.92</v>
      </c>
      <c r="E87" s="74"/>
      <c r="F87" s="168"/>
      <c r="G87" s="171"/>
      <c r="H87" s="171"/>
      <c r="I87" s="141"/>
      <c r="J87" s="174"/>
      <c r="K87" s="174"/>
      <c r="L87" s="174"/>
      <c r="M87" s="174"/>
    </row>
    <row r="88" spans="6:12" ht="9.75" customHeight="1">
      <c r="F88" s="167"/>
      <c r="G88" s="171"/>
      <c r="H88" s="171"/>
      <c r="I88" s="73"/>
      <c r="J88" s="74"/>
      <c r="K88" s="74"/>
      <c r="L88" s="74"/>
    </row>
    <row r="89" spans="2:12" ht="22.5" customHeight="1" hidden="1">
      <c r="B89" s="169" t="s">
        <v>60</v>
      </c>
      <c r="C89" s="170"/>
      <c r="D89" s="86">
        <v>0</v>
      </c>
      <c r="E89" s="56" t="s">
        <v>24</v>
      </c>
      <c r="F89" s="167"/>
      <c r="G89" s="171"/>
      <c r="H89" s="17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71"/>
      <c r="O90" s="171"/>
    </row>
    <row r="91" spans="4:15" ht="15">
      <c r="D91" s="83"/>
      <c r="I91" s="31"/>
      <c r="N91" s="172"/>
      <c r="O91" s="172"/>
    </row>
    <row r="92" spans="14:15" ht="15">
      <c r="N92" s="171"/>
      <c r="O92" s="17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2016-02-08T14:55:56Z</cp:lastPrinted>
  <dcterms:created xsi:type="dcterms:W3CDTF">2003-07-28T11:27:56Z</dcterms:created>
  <dcterms:modified xsi:type="dcterms:W3CDTF">2016-02-08T15:08:57Z</dcterms:modified>
  <cp:category/>
  <cp:version/>
  <cp:contentType/>
  <cp:contentStatus/>
</cp:coreProperties>
</file>